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https://tringarts-my.sharepoint.com/personal/ashleigh_daley_tringpark_com/Documents/DOCUMENTS/WEBSITE/"/>
    </mc:Choice>
  </mc:AlternateContent>
  <xr:revisionPtr revIDLastSave="0" documentId="8_{1B6D91CA-9E8A-0F47-906D-4B1646E5B6E2}" xr6:coauthVersionLast="47" xr6:coauthVersionMax="47" xr10:uidLastSave="{00000000-0000-0000-0000-000000000000}"/>
  <workbookProtection workbookAlgorithmName="SHA-512" workbookHashValue="02XAJCeyU42hZr4fJc4276biE5rPl5Qc/Q1xYVm6bktFqtxPT/z9Jr7mdpth4T7uYWR/Ba7d/KQJJ8iVWFa6QQ==" workbookSaltValue="ZfCdLRMGW29Y2nMqRw6t+w==" workbookSpinCount="100000" lockStructure="1"/>
  <bookViews>
    <workbookView xWindow="0" yWindow="760" windowWidth="34560" windowHeight="21580" xr2:uid="{00000000-000D-0000-FFFF-FFFF00000000}"/>
  </bookViews>
  <sheets>
    <sheet name="Input" sheetId="3" r:id="rId1"/>
    <sheet name="Rates" sheetId="2" state="hidden" r:id="rId2"/>
    <sheet name="Calc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5" i="1"/>
  <c r="D13" i="2" l="1"/>
  <c r="D14" i="2"/>
  <c r="D15" i="2"/>
  <c r="D12" i="2"/>
  <c r="J27" i="3"/>
  <c r="F20" i="3"/>
  <c r="K33" i="3" l="1"/>
  <c r="K44" i="3"/>
  <c r="F24" i="3"/>
  <c r="K38" i="1" l="1"/>
  <c r="J38" i="1"/>
  <c r="B38" i="1"/>
  <c r="K34" i="1"/>
  <c r="J34" i="1"/>
  <c r="F34" i="1"/>
  <c r="D34" i="1"/>
  <c r="K33" i="1"/>
  <c r="J33" i="1"/>
  <c r="F33" i="1"/>
  <c r="D33" i="1"/>
  <c r="K32" i="1"/>
  <c r="J32" i="1"/>
  <c r="F32" i="1"/>
  <c r="D32" i="1"/>
  <c r="B27" i="1"/>
  <c r="H23" i="1"/>
  <c r="K19" i="1"/>
  <c r="J19" i="1"/>
  <c r="B19" i="1"/>
  <c r="K15" i="1"/>
  <c r="J15" i="1"/>
  <c r="F15" i="1"/>
  <c r="D15" i="1"/>
  <c r="K14" i="1"/>
  <c r="J14" i="1"/>
  <c r="F14" i="1"/>
  <c r="D14" i="1"/>
  <c r="K13" i="1"/>
  <c r="J13" i="1"/>
  <c r="F13" i="1"/>
  <c r="D13" i="1"/>
  <c r="K12" i="1"/>
  <c r="J12" i="1"/>
  <c r="F12" i="1"/>
  <c r="D12" i="1"/>
  <c r="K11" i="1"/>
  <c r="J11" i="1"/>
  <c r="F11" i="1"/>
  <c r="D11" i="1"/>
  <c r="K10" i="1"/>
  <c r="J10" i="1"/>
  <c r="F10" i="1"/>
  <c r="D10" i="1"/>
  <c r="E9" i="2"/>
  <c r="E8" i="2"/>
  <c r="E7" i="2"/>
  <c r="E6" i="2"/>
  <c r="F27" i="3" l="1"/>
  <c r="F36" i="1"/>
  <c r="F17" i="1"/>
  <c r="G10" i="1" l="1"/>
  <c r="G32" i="1"/>
  <c r="G38" i="1"/>
  <c r="I38" i="1" s="1"/>
  <c r="G19" i="1"/>
  <c r="G12" i="1"/>
  <c r="G33" i="1"/>
  <c r="G13" i="1"/>
  <c r="G34" i="1"/>
  <c r="G15" i="1"/>
  <c r="G11" i="1"/>
  <c r="G14" i="1"/>
  <c r="H11" i="1" l="1"/>
  <c r="I11" i="1"/>
  <c r="I15" i="1"/>
  <c r="H15" i="1"/>
  <c r="I12" i="1"/>
  <c r="H12" i="1" s="1"/>
  <c r="I10" i="1"/>
  <c r="H10" i="1"/>
  <c r="I33" i="1"/>
  <c r="H33" i="1" s="1"/>
  <c r="H34" i="1"/>
  <c r="I34" i="1"/>
  <c r="I32" i="1"/>
  <c r="H32" i="1" s="1"/>
  <c r="I14" i="1"/>
  <c r="H14" i="1" s="1"/>
  <c r="I13" i="1"/>
  <c r="H13" i="1" s="1"/>
  <c r="H38" i="1"/>
  <c r="I19" i="1"/>
  <c r="H19" i="1" s="1"/>
  <c r="H21" i="1" l="1"/>
  <c r="F31" i="3" s="1"/>
  <c r="F33" i="3" s="1"/>
  <c r="D33" i="3" s="1"/>
  <c r="H40" i="1"/>
  <c r="F42" i="3" s="1"/>
  <c r="F44" i="3" l="1"/>
  <c r="D44" i="3" s="1"/>
  <c r="F35" i="3"/>
  <c r="D31" i="3"/>
  <c r="F46" i="3"/>
  <c r="F50" i="3" s="1"/>
  <c r="D42" i="3"/>
  <c r="F39" i="3" l="1"/>
  <c r="F37" i="3"/>
  <c r="F48" i="3"/>
  <c r="D46" i="3"/>
  <c r="D48" i="3" s="1"/>
  <c r="D35" i="3"/>
  <c r="D37" i="3" s="1"/>
</calcChain>
</file>

<file path=xl/sharedStrings.xml><?xml version="1.0" encoding="utf-8"?>
<sst xmlns="http://schemas.openxmlformats.org/spreadsheetml/2006/main" count="105" uniqueCount="70">
  <si>
    <t>MUSIC AND DANCE SCHEME : PARENTAL CONTRIBUTION CALCULATOR 2021/22</t>
  </si>
  <si>
    <t>Scale for one Aided BOARDING Pupil (same for 7 - 11 and 12+)</t>
  </si>
  <si>
    <t>Academic Year</t>
  </si>
  <si>
    <t>2021/22</t>
  </si>
  <si>
    <t>Threshold</t>
  </si>
  <si>
    <t>i.e. amount of earnings below which it is not cost effective to collect parental contribution</t>
  </si>
  <si>
    <t>TOTAL</t>
  </si>
  <si>
    <t>RELEVANT</t>
  </si>
  <si>
    <t>PARENTS</t>
  </si>
  <si>
    <t>RELEVANT INCOME</t>
  </si>
  <si>
    <t>Bandwidth</t>
  </si>
  <si>
    <t>%age</t>
  </si>
  <si>
    <t>Amount</t>
  </si>
  <si>
    <t>INCOME</t>
  </si>
  <si>
    <t>CONTRIB</t>
  </si>
  <si>
    <t>(Working)</t>
  </si>
  <si>
    <t>Each of 2 (%)</t>
  </si>
  <si>
    <t>Each of 3 (%)</t>
  </si>
  <si>
    <t>Part between</t>
  </si>
  <si>
    <t>Total</t>
  </si>
  <si>
    <t>Part exceeding</t>
  </si>
  <si>
    <t>Scale for one Aided DAY Pupil (same for 7 - 11 and 12+)</t>
  </si>
  <si>
    <t>MDS Maximum Payments</t>
  </si>
  <si>
    <t xml:space="preserve">Basic Rates </t>
  </si>
  <si>
    <t>(including BUPA, dance uniform, Private Tuition)</t>
  </si>
  <si>
    <t>Annual</t>
  </si>
  <si>
    <t>Term</t>
  </si>
  <si>
    <t>B 12+</t>
  </si>
  <si>
    <t>Aided Boarder 12+</t>
  </si>
  <si>
    <t>D 12+</t>
  </si>
  <si>
    <t>Aided Day 12+</t>
  </si>
  <si>
    <t>B 7 - 11</t>
  </si>
  <si>
    <t>Aided Boarder 7 - 11</t>
  </si>
  <si>
    <t>D 7 - 11</t>
  </si>
  <si>
    <t>Aided Day 7 - 11</t>
  </si>
  <si>
    <t>Calculated Maximum Net Fees per Pupil</t>
  </si>
  <si>
    <t>Type*</t>
  </si>
  <si>
    <t>Per Term</t>
  </si>
  <si>
    <t>Actual Boarding Fee</t>
  </si>
  <si>
    <t>MDS contribution to fees</t>
  </si>
  <si>
    <t>Actual day fee</t>
  </si>
  <si>
    <t>Boarding Years 7 - 11</t>
  </si>
  <si>
    <t>Day Years 12+</t>
  </si>
  <si>
    <t>Boarding Years 12+</t>
  </si>
  <si>
    <t>Day Years 7 - 11</t>
  </si>
  <si>
    <t>Dependants Allowance</t>
  </si>
  <si>
    <t>MDS PARENTAL CONTRIBUTION CALCULATOR 2022/23</t>
  </si>
  <si>
    <t>1.  All gross income from employment and/or self-employment before pension, tax &amp; NI deductions</t>
  </si>
  <si>
    <t>2.  Benefits in kind, if not included above</t>
  </si>
  <si>
    <t>3.  Profit-related pay, if not included above</t>
  </si>
  <si>
    <t>4.  Occupational/Personal pension</t>
  </si>
  <si>
    <t>5.  State pension</t>
  </si>
  <si>
    <t>6.  Taxable social security benefits</t>
  </si>
  <si>
    <t>7.  Property income</t>
  </si>
  <si>
    <t>8.  Bank/building society interest</t>
  </si>
  <si>
    <t>9.  Dividends and other investment income</t>
  </si>
  <si>
    <t>10.  Child Support or Maintenance allowance received (exclude Child Benefit)</t>
  </si>
  <si>
    <t>11.  That part of redundancy payment that exceeds £30,000</t>
  </si>
  <si>
    <t>(where the child resides)</t>
  </si>
  <si>
    <t>PUPIL TYPE: (select from drop down)</t>
  </si>
  <si>
    <t>NO. OF CHILDREN:</t>
  </si>
  <si>
    <t>(select from drop down)</t>
  </si>
  <si>
    <t>HOUSEHOLD TOTAL (£):</t>
  </si>
  <si>
    <t>ALLOWANCE FOR NUMBER OF DEPENDENTS LIVING AT HOME EXCLUDING CHILD AT SCHOOL</t>
  </si>
  <si>
    <t>ASSESSED INCOME</t>
  </si>
  <si>
    <t>PARENTAL CONTRIBUTION - BOARDING</t>
  </si>
  <si>
    <t>PARENTAL CONTRIBUTION - DAY</t>
  </si>
  <si>
    <t>ELIGIBILITY FOR A BOARDING PLACE:</t>
  </si>
  <si>
    <t>ELIGIBILITY FOR A DAY PLACE:</t>
  </si>
  <si>
    <t>ONE AIDED PUPIL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</si>
</sst>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;\(#,##0\)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MS Sans Serif"/>
    </font>
    <font>
      <sz val="10"/>
      <color rgb="FF0070C0"/>
      <name val="Arial"/>
      <family val="2"/>
    </font>
    <font>
      <b/>
      <i/>
      <sz val="10"/>
      <name val="MS Sans Serif"/>
    </font>
    <font>
      <i/>
      <sz val="10"/>
      <name val="MS Sans Serif"/>
    </font>
    <font>
      <i/>
      <sz val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MS Sans Serif"/>
    </font>
    <font>
      <sz val="10"/>
      <name val="Arial"/>
      <family val="2"/>
    </font>
    <font>
      <i/>
      <sz val="8"/>
      <name val="MS Sans Serif"/>
    </font>
    <font>
      <b/>
      <i/>
      <sz val="8"/>
      <name val="Arial"/>
      <family val="2"/>
    </font>
    <font>
      <b/>
      <i/>
      <sz val="8"/>
      <name val="MS Sans Serif"/>
    </font>
    <font>
      <i/>
      <sz val="10"/>
      <name val="Arial"/>
      <family val="2"/>
    </font>
    <font>
      <b/>
      <sz val="10"/>
      <color indexed="12"/>
      <name val="MS Sans Serif"/>
      <family val="2"/>
    </font>
    <font>
      <sz val="10"/>
      <color indexed="12"/>
      <name val="Arial"/>
      <family val="2"/>
    </font>
    <font>
      <b/>
      <sz val="10"/>
      <color rgb="FFFF0000"/>
      <name val="MS Sans Serif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 applyProtection="1"/>
    <xf numFmtId="0" fontId="0" fillId="0" borderId="0" xfId="0" applyProtection="1"/>
    <xf numFmtId="17" fontId="4" fillId="0" borderId="0" xfId="0" quotePrefix="1" applyNumberFormat="1" applyFont="1" applyAlignment="1" applyProtection="1">
      <alignment horizontal="left"/>
    </xf>
    <xf numFmtId="0" fontId="5" fillId="2" borderId="1" xfId="0" applyFont="1" applyFill="1" applyBorder="1" applyProtection="1"/>
    <xf numFmtId="0" fontId="5" fillId="2" borderId="2" xfId="0" applyFont="1" applyFill="1" applyBorder="1" applyAlignment="1" applyProtection="1">
      <alignment horizontal="center"/>
    </xf>
    <xf numFmtId="0" fontId="0" fillId="2" borderId="2" xfId="0" applyFill="1" applyBorder="1" applyProtection="1"/>
    <xf numFmtId="0" fontId="0" fillId="2" borderId="3" xfId="0" applyFill="1" applyBorder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5" xfId="0" applyFill="1" applyBorder="1"/>
    <xf numFmtId="0" fontId="0" fillId="2" borderId="4" xfId="0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3" fontId="6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Continuous" vertical="center" wrapText="1"/>
    </xf>
    <xf numFmtId="0" fontId="0" fillId="2" borderId="0" xfId="0" applyFill="1" applyBorder="1" applyAlignment="1" applyProtection="1">
      <alignment horizontal="centerContinuous" vertical="center" wrapText="1"/>
    </xf>
    <xf numFmtId="0" fontId="0" fillId="2" borderId="5" xfId="0" applyFill="1" applyBorder="1" applyAlignment="1">
      <alignment vertical="center"/>
    </xf>
    <xf numFmtId="0" fontId="6" fillId="2" borderId="0" xfId="0" applyFont="1" applyFill="1" applyBorder="1" applyProtection="1"/>
    <xf numFmtId="0" fontId="8" fillId="2" borderId="4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9" fillId="2" borderId="4" xfId="0" applyFont="1" applyFill="1" applyBorder="1" applyProtection="1"/>
    <xf numFmtId="3" fontId="11" fillId="3" borderId="0" xfId="0" applyNumberFormat="1" applyFont="1" applyFill="1" applyBorder="1" applyProtection="1"/>
    <xf numFmtId="3" fontId="11" fillId="2" borderId="0" xfId="0" applyNumberFormat="1" applyFont="1" applyFill="1" applyBorder="1" applyProtection="1"/>
    <xf numFmtId="3" fontId="0" fillId="2" borderId="0" xfId="0" applyNumberFormat="1" applyFill="1" applyBorder="1" applyProtection="1"/>
    <xf numFmtId="0" fontId="12" fillId="2" borderId="0" xfId="0" applyFont="1" applyFill="1" applyBorder="1" applyProtection="1"/>
    <xf numFmtId="2" fontId="0" fillId="2" borderId="0" xfId="0" applyNumberFormat="1" applyFill="1" applyBorder="1" applyProtection="1"/>
    <xf numFmtId="3" fontId="13" fillId="2" borderId="0" xfId="0" applyNumberFormat="1" applyFont="1" applyFill="1" applyBorder="1" applyProtection="1">
      <protection locked="0"/>
    </xf>
    <xf numFmtId="3" fontId="14" fillId="2" borderId="0" xfId="0" applyNumberFormat="1" applyFont="1" applyFill="1" applyBorder="1" applyProtection="1"/>
    <xf numFmtId="2" fontId="10" fillId="2" borderId="0" xfId="0" applyNumberFormat="1" applyFont="1" applyFill="1" applyBorder="1" applyProtection="1"/>
    <xf numFmtId="3" fontId="0" fillId="2" borderId="0" xfId="0" applyNumberFormat="1" applyFill="1" applyBorder="1" applyProtection="1">
      <protection locked="0"/>
    </xf>
    <xf numFmtId="3" fontId="15" fillId="2" borderId="0" xfId="0" applyNumberFormat="1" applyFont="1" applyFill="1" applyBorder="1" applyProtection="1"/>
    <xf numFmtId="2" fontId="15" fillId="2" borderId="0" xfId="0" applyNumberFormat="1" applyFont="1" applyFill="1" applyBorder="1" applyProtection="1"/>
    <xf numFmtId="0" fontId="16" fillId="2" borderId="4" xfId="0" applyFont="1" applyFill="1" applyBorder="1" applyProtection="1"/>
    <xf numFmtId="3" fontId="10" fillId="2" borderId="0" xfId="0" applyNumberFormat="1" applyFont="1" applyFill="1" applyBorder="1" applyProtection="1"/>
    <xf numFmtId="0" fontId="17" fillId="2" borderId="0" xfId="0" applyFont="1" applyFill="1" applyBorder="1" applyProtection="1"/>
    <xf numFmtId="0" fontId="10" fillId="2" borderId="0" xfId="0" applyFont="1" applyFill="1" applyBorder="1" applyProtection="1"/>
    <xf numFmtId="3" fontId="18" fillId="2" borderId="0" xfId="0" applyNumberFormat="1" applyFont="1" applyFill="1" applyBorder="1" applyProtection="1">
      <protection locked="0"/>
    </xf>
    <xf numFmtId="3" fontId="16" fillId="2" borderId="0" xfId="0" applyNumberFormat="1" applyFont="1" applyFill="1" applyBorder="1" applyProtection="1"/>
    <xf numFmtId="0" fontId="0" fillId="2" borderId="0" xfId="0" applyFill="1" applyBorder="1" applyProtection="1">
      <protection locked="0"/>
    </xf>
    <xf numFmtId="0" fontId="19" fillId="2" borderId="0" xfId="0" applyFont="1" applyFill="1" applyBorder="1" applyProtection="1"/>
    <xf numFmtId="3" fontId="12" fillId="2" borderId="6" xfId="0" applyNumberFormat="1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3" fontId="0" fillId="2" borderId="8" xfId="0" applyNumberFormat="1" applyFill="1" applyBorder="1" applyProtection="1"/>
    <xf numFmtId="3" fontId="20" fillId="2" borderId="8" xfId="0" applyNumberFormat="1" applyFont="1" applyFill="1" applyBorder="1" applyProtection="1">
      <protection locked="0"/>
    </xf>
    <xf numFmtId="3" fontId="13" fillId="2" borderId="8" xfId="0" applyNumberFormat="1" applyFont="1" applyFill="1" applyBorder="1" applyProtection="1"/>
    <xf numFmtId="0" fontId="19" fillId="2" borderId="8" xfId="0" applyFont="1" applyFill="1" applyBorder="1" applyProtection="1"/>
    <xf numFmtId="0" fontId="0" fillId="2" borderId="9" xfId="0" applyFill="1" applyBorder="1"/>
    <xf numFmtId="3" fontId="0" fillId="0" borderId="0" xfId="0" applyNumberFormat="1" applyProtection="1"/>
    <xf numFmtId="0" fontId="0" fillId="0" borderId="0" xfId="0" applyFill="1" applyProtection="1">
      <protection locked="0"/>
    </xf>
    <xf numFmtId="0" fontId="0" fillId="0" borderId="0" xfId="0" applyFill="1" applyProtection="1"/>
    <xf numFmtId="0" fontId="19" fillId="0" borderId="0" xfId="0" applyFont="1" applyProtection="1"/>
    <xf numFmtId="0" fontId="5" fillId="4" borderId="1" xfId="0" applyFont="1" applyFill="1" applyBorder="1" applyProtection="1"/>
    <xf numFmtId="0" fontId="0" fillId="4" borderId="2" xfId="0" applyFill="1" applyBorder="1" applyProtection="1"/>
    <xf numFmtId="3" fontId="0" fillId="4" borderId="2" xfId="0" applyNumberFormat="1" applyFill="1" applyBorder="1" applyProtection="1"/>
    <xf numFmtId="0" fontId="0" fillId="4" borderId="2" xfId="0" applyFill="1" applyBorder="1" applyProtection="1">
      <protection locked="0"/>
    </xf>
    <xf numFmtId="0" fontId="19" fillId="4" borderId="2" xfId="0" applyFont="1" applyFill="1" applyBorder="1" applyProtection="1"/>
    <xf numFmtId="0" fontId="0" fillId="4" borderId="3" xfId="0" applyFill="1" applyBorder="1"/>
    <xf numFmtId="0" fontId="0" fillId="4" borderId="4" xfId="0" applyFill="1" applyBorder="1" applyProtection="1"/>
    <xf numFmtId="0" fontId="0" fillId="4" borderId="0" xfId="0" applyFill="1" applyBorder="1" applyProtection="1"/>
    <xf numFmtId="3" fontId="0" fillId="4" borderId="0" xfId="0" applyNumberFormat="1" applyFill="1" applyBorder="1" applyProtection="1"/>
    <xf numFmtId="0" fontId="0" fillId="4" borderId="0" xfId="0" applyFill="1" applyBorder="1" applyProtection="1">
      <protection locked="0"/>
    </xf>
    <xf numFmtId="0" fontId="19" fillId="4" borderId="0" xfId="0" applyFont="1" applyFill="1" applyBorder="1" applyProtection="1"/>
    <xf numFmtId="0" fontId="0" fillId="4" borderId="5" xfId="0" applyFill="1" applyBorder="1"/>
    <xf numFmtId="0" fontId="6" fillId="4" borderId="0" xfId="0" applyFont="1" applyFill="1" applyBorder="1" applyProtection="1"/>
    <xf numFmtId="3" fontId="6" fillId="4" borderId="0" xfId="0" applyNumberFormat="1" applyFont="1" applyFill="1" applyBorder="1" applyProtection="1"/>
    <xf numFmtId="0" fontId="6" fillId="4" borderId="0" xfId="0" applyFont="1" applyFill="1" applyBorder="1" applyProtection="1">
      <protection locked="0"/>
    </xf>
    <xf numFmtId="0" fontId="8" fillId="4" borderId="4" xfId="0" applyFont="1" applyFill="1" applyBorder="1" applyProtection="1"/>
    <xf numFmtId="0" fontId="0" fillId="4" borderId="0" xfId="0" applyFill="1" applyBorder="1" applyAlignment="1" applyProtection="1">
      <alignment horizontal="right"/>
    </xf>
    <xf numFmtId="0" fontId="9" fillId="4" borderId="0" xfId="0" applyFont="1" applyFill="1" applyBorder="1" applyAlignment="1" applyProtection="1">
      <alignment horizontal="right"/>
    </xf>
    <xf numFmtId="0" fontId="9" fillId="4" borderId="0" xfId="0" applyFont="1" applyFill="1" applyBorder="1" applyProtection="1"/>
    <xf numFmtId="0" fontId="10" fillId="4" borderId="0" xfId="0" applyFont="1" applyFill="1" applyBorder="1" applyAlignment="1" applyProtection="1">
      <alignment horizontal="center"/>
    </xf>
    <xf numFmtId="0" fontId="9" fillId="4" borderId="4" xfId="0" applyFont="1" applyFill="1" applyBorder="1" applyProtection="1"/>
    <xf numFmtId="3" fontId="11" fillId="4" borderId="0" xfId="0" applyNumberFormat="1" applyFont="1" applyFill="1" applyBorder="1" applyProtection="1"/>
    <xf numFmtId="0" fontId="12" fillId="4" borderId="0" xfId="0" applyFont="1" applyFill="1" applyBorder="1" applyProtection="1"/>
    <xf numFmtId="2" fontId="0" fillId="4" borderId="0" xfId="0" applyNumberFormat="1" applyFill="1" applyBorder="1" applyProtection="1"/>
    <xf numFmtId="3" fontId="13" fillId="4" borderId="0" xfId="0" applyNumberFormat="1" applyFont="1" applyFill="1" applyBorder="1" applyProtection="1">
      <protection locked="0"/>
    </xf>
    <xf numFmtId="3" fontId="14" fillId="4" borderId="0" xfId="0" applyNumberFormat="1" applyFont="1" applyFill="1" applyBorder="1" applyProtection="1"/>
    <xf numFmtId="2" fontId="10" fillId="4" borderId="0" xfId="0" applyNumberFormat="1" applyFont="1" applyFill="1" applyBorder="1" applyProtection="1"/>
    <xf numFmtId="3" fontId="21" fillId="4" borderId="0" xfId="0" applyNumberFormat="1" applyFont="1" applyFill="1" applyBorder="1" applyProtection="1">
      <protection locked="0"/>
    </xf>
    <xf numFmtId="3" fontId="0" fillId="4" borderId="0" xfId="0" applyNumberFormat="1" applyFill="1" applyBorder="1" applyProtection="1">
      <protection locked="0"/>
    </xf>
    <xf numFmtId="3" fontId="22" fillId="2" borderId="0" xfId="0" applyNumberFormat="1" applyFont="1" applyFill="1" applyBorder="1" applyProtection="1">
      <protection locked="0"/>
    </xf>
    <xf numFmtId="0" fontId="0" fillId="4" borderId="4" xfId="0" applyFill="1" applyBorder="1"/>
    <xf numFmtId="0" fontId="0" fillId="4" borderId="0" xfId="0" applyFill="1" applyBorder="1"/>
    <xf numFmtId="0" fontId="0" fillId="4" borderId="7" xfId="0" applyFill="1" applyBorder="1"/>
    <xf numFmtId="0" fontId="0" fillId="4" borderId="8" xfId="0" applyFill="1" applyBorder="1"/>
    <xf numFmtId="3" fontId="12" fillId="4" borderId="10" xfId="0" applyNumberFormat="1" applyFont="1" applyFill="1" applyBorder="1"/>
    <xf numFmtId="0" fontId="0" fillId="4" borderId="9" xfId="0" applyFill="1" applyBorder="1"/>
    <xf numFmtId="0" fontId="23" fillId="0" borderId="0" xfId="0" applyFont="1"/>
    <xf numFmtId="0" fontId="12" fillId="0" borderId="0" xfId="0" applyFont="1"/>
    <xf numFmtId="0" fontId="24" fillId="3" borderId="0" xfId="0" applyFont="1" applyFill="1"/>
    <xf numFmtId="0" fontId="12" fillId="0" borderId="0" xfId="0" applyFont="1" applyAlignment="1">
      <alignment horizontal="center"/>
    </xf>
    <xf numFmtId="0" fontId="25" fillId="0" borderId="0" xfId="0" applyFont="1" applyAlignment="1">
      <alignment horizontal="centerContinuous" wrapText="1"/>
    </xf>
    <xf numFmtId="0" fontId="15" fillId="0" borderId="0" xfId="0" applyFont="1"/>
    <xf numFmtId="164" fontId="11" fillId="0" borderId="0" xfId="1" applyFont="1"/>
    <xf numFmtId="164" fontId="12" fillId="0" borderId="0" xfId="1" applyFont="1"/>
    <xf numFmtId="164" fontId="11" fillId="0" borderId="0" xfId="1" applyFont="1" applyFill="1"/>
    <xf numFmtId="164" fontId="12" fillId="0" borderId="0" xfId="1" applyFont="1" applyFill="1"/>
    <xf numFmtId="164" fontId="0" fillId="0" borderId="0" xfId="1" applyFont="1"/>
    <xf numFmtId="0" fontId="3" fillId="5" borderId="0" xfId="0" applyFont="1" applyFill="1" applyProtection="1"/>
    <xf numFmtId="0" fontId="1" fillId="5" borderId="0" xfId="0" applyFont="1" applyFill="1" applyProtection="1"/>
    <xf numFmtId="0" fontId="1" fillId="5" borderId="0" xfId="0" applyFont="1" applyFill="1"/>
    <xf numFmtId="0" fontId="3" fillId="5" borderId="25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right"/>
    </xf>
    <xf numFmtId="0" fontId="3" fillId="5" borderId="0" xfId="0" applyFont="1" applyFill="1" applyAlignment="1" applyProtection="1">
      <alignment horizontal="center"/>
    </xf>
    <xf numFmtId="0" fontId="26" fillId="5" borderId="0" xfId="0" applyFont="1" applyFill="1" applyAlignment="1" applyProtection="1">
      <alignment horizontal="left" vertical="top" wrapText="1"/>
    </xf>
    <xf numFmtId="165" fontId="27" fillId="5" borderId="0" xfId="0" applyNumberFormat="1" applyFont="1" applyFill="1" applyBorder="1" applyProtection="1"/>
    <xf numFmtId="165" fontId="1" fillId="5" borderId="0" xfId="0" applyNumberFormat="1" applyFont="1" applyFill="1" applyProtection="1"/>
    <xf numFmtId="165" fontId="26" fillId="5" borderId="0" xfId="0" applyNumberFormat="1" applyFont="1" applyFill="1" applyBorder="1" applyProtection="1"/>
    <xf numFmtId="165" fontId="3" fillId="5" borderId="13" xfId="0" applyNumberFormat="1" applyFont="1" applyFill="1" applyBorder="1" applyProtection="1"/>
    <xf numFmtId="165" fontId="3" fillId="5" borderId="11" xfId="0" applyNumberFormat="1" applyFont="1" applyFill="1" applyBorder="1" applyProtection="1"/>
    <xf numFmtId="165" fontId="3" fillId="5" borderId="11" xfId="0" applyNumberFormat="1" applyFont="1" applyFill="1" applyBorder="1" applyAlignment="1" applyProtection="1">
      <alignment horizontal="center"/>
    </xf>
    <xf numFmtId="0" fontId="29" fillId="5" borderId="0" xfId="0" applyFont="1" applyFill="1" applyProtection="1"/>
    <xf numFmtId="0" fontId="29" fillId="5" borderId="0" xfId="0" applyFont="1" applyFill="1" applyBorder="1" applyProtection="1"/>
    <xf numFmtId="0" fontId="30" fillId="5" borderId="0" xfId="0" applyFont="1" applyFill="1" applyAlignment="1" applyProtection="1">
      <alignment horizontal="center"/>
    </xf>
    <xf numFmtId="165" fontId="29" fillId="5" borderId="0" xfId="0" applyNumberFormat="1" applyFont="1" applyFill="1" applyProtection="1"/>
    <xf numFmtId="165" fontId="29" fillId="5" borderId="0" xfId="0" applyNumberFormat="1" applyFont="1" applyFill="1" applyBorder="1" applyProtection="1"/>
    <xf numFmtId="165" fontId="29" fillId="5" borderId="0" xfId="0" applyNumberFormat="1" applyFont="1" applyFill="1" applyAlignment="1" applyProtection="1">
      <alignment horizontal="center"/>
    </xf>
    <xf numFmtId="165" fontId="30" fillId="5" borderId="13" xfId="0" applyNumberFormat="1" applyFont="1" applyFill="1" applyBorder="1" applyProtection="1"/>
    <xf numFmtId="165" fontId="30" fillId="5" borderId="0" xfId="0" applyNumberFormat="1" applyFont="1" applyFill="1" applyAlignment="1" applyProtection="1">
      <alignment horizontal="center"/>
    </xf>
    <xf numFmtId="165" fontId="30" fillId="5" borderId="0" xfId="0" applyNumberFormat="1" applyFont="1" applyFill="1" applyBorder="1" applyProtection="1"/>
    <xf numFmtId="0" fontId="3" fillId="5" borderId="0" xfId="0" applyFont="1" applyFill="1" applyAlignment="1" applyProtection="1">
      <alignment vertical="center"/>
    </xf>
    <xf numFmtId="0" fontId="3" fillId="6" borderId="14" xfId="0" applyFont="1" applyFill="1" applyBorder="1" applyProtection="1"/>
    <xf numFmtId="165" fontId="29" fillId="6" borderId="15" xfId="0" applyNumberFormat="1" applyFont="1" applyFill="1" applyBorder="1" applyProtection="1"/>
    <xf numFmtId="165" fontId="3" fillId="6" borderId="15" xfId="0" applyNumberFormat="1" applyFont="1" applyFill="1" applyBorder="1" applyAlignment="1" applyProtection="1">
      <alignment horizontal="center"/>
    </xf>
    <xf numFmtId="165" fontId="3" fillId="6" borderId="16" xfId="0" applyNumberFormat="1" applyFont="1" applyFill="1" applyBorder="1" applyAlignment="1" applyProtection="1">
      <alignment horizontal="center"/>
    </xf>
    <xf numFmtId="0" fontId="30" fillId="6" borderId="17" xfId="0" applyFont="1" applyFill="1" applyBorder="1" applyProtection="1"/>
    <xf numFmtId="165" fontId="29" fillId="6" borderId="0" xfId="0" applyNumberFormat="1" applyFont="1" applyFill="1" applyBorder="1" applyProtection="1"/>
    <xf numFmtId="165" fontId="29" fillId="6" borderId="0" xfId="0" applyNumberFormat="1" applyFont="1" applyFill="1" applyBorder="1" applyAlignment="1" applyProtection="1">
      <alignment horizontal="center"/>
    </xf>
    <xf numFmtId="165" fontId="29" fillId="6" borderId="18" xfId="0" applyNumberFormat="1" applyFont="1" applyFill="1" applyBorder="1" applyAlignment="1" applyProtection="1">
      <alignment horizontal="center"/>
    </xf>
    <xf numFmtId="0" fontId="3" fillId="6" borderId="17" xfId="0" applyFont="1" applyFill="1" applyBorder="1" applyProtection="1"/>
    <xf numFmtId="38" fontId="26" fillId="6" borderId="19" xfId="0" quotePrefix="1" applyNumberFormat="1" applyFont="1" applyFill="1" applyBorder="1" applyAlignment="1" applyProtection="1">
      <alignment horizontal="center"/>
    </xf>
    <xf numFmtId="38" fontId="29" fillId="6" borderId="20" xfId="0" applyNumberFormat="1" applyFont="1" applyFill="1" applyBorder="1" applyAlignment="1" applyProtection="1">
      <alignment horizontal="center"/>
    </xf>
    <xf numFmtId="38" fontId="26" fillId="6" borderId="21" xfId="0" quotePrefix="1" applyNumberFormat="1" applyFont="1" applyFill="1" applyBorder="1" applyAlignment="1" applyProtection="1">
      <alignment horizontal="center"/>
    </xf>
    <xf numFmtId="165" fontId="29" fillId="6" borderId="11" xfId="0" applyNumberFormat="1" applyFont="1" applyFill="1" applyBorder="1" applyAlignment="1" applyProtection="1">
      <alignment horizontal="center"/>
    </xf>
    <xf numFmtId="0" fontId="3" fillId="6" borderId="1" xfId="0" applyFont="1" applyFill="1" applyBorder="1" applyProtection="1"/>
    <xf numFmtId="165" fontId="29" fillId="6" borderId="2" xfId="0" applyNumberFormat="1" applyFont="1" applyFill="1" applyBorder="1" applyProtection="1"/>
    <xf numFmtId="165" fontId="3" fillId="6" borderId="2" xfId="0" applyNumberFormat="1" applyFont="1" applyFill="1" applyBorder="1" applyAlignment="1" applyProtection="1">
      <alignment horizontal="center"/>
    </xf>
    <xf numFmtId="165" fontId="3" fillId="6" borderId="3" xfId="0" applyNumberFormat="1" applyFont="1" applyFill="1" applyBorder="1" applyAlignment="1" applyProtection="1">
      <alignment horizontal="center"/>
    </xf>
    <xf numFmtId="0" fontId="3" fillId="6" borderId="4" xfId="0" applyFont="1" applyFill="1" applyBorder="1" applyProtection="1"/>
    <xf numFmtId="165" fontId="3" fillId="6" borderId="0" xfId="0" applyNumberFormat="1" applyFont="1" applyFill="1" applyBorder="1" applyAlignment="1" applyProtection="1">
      <alignment horizontal="center"/>
    </xf>
    <xf numFmtId="0" fontId="29" fillId="6" borderId="4" xfId="0" applyFont="1" applyFill="1" applyBorder="1" applyProtection="1"/>
    <xf numFmtId="165" fontId="26" fillId="6" borderId="0" xfId="0" applyNumberFormat="1" applyFont="1" applyFill="1" applyBorder="1" applyAlignment="1" applyProtection="1">
      <alignment horizontal="center"/>
    </xf>
    <xf numFmtId="165" fontId="26" fillId="6" borderId="5" xfId="0" applyNumberFormat="1" applyFont="1" applyFill="1" applyBorder="1" applyAlignment="1" applyProtection="1">
      <alignment horizontal="center"/>
    </xf>
    <xf numFmtId="38" fontId="26" fillId="6" borderId="24" xfId="0" quotePrefix="1" applyNumberFormat="1" applyFont="1" applyFill="1" applyBorder="1" applyAlignment="1" applyProtection="1">
      <alignment horizontal="center"/>
    </xf>
    <xf numFmtId="165" fontId="29" fillId="6" borderId="5" xfId="0" applyNumberFormat="1" applyFont="1" applyFill="1" applyBorder="1" applyAlignment="1" applyProtection="1">
      <alignment horizontal="center"/>
    </xf>
    <xf numFmtId="165" fontId="29" fillId="7" borderId="11" xfId="0" applyNumberFormat="1" applyFont="1" applyFill="1" applyBorder="1" applyAlignment="1" applyProtection="1">
      <alignment horizontal="center"/>
      <protection locked="0"/>
    </xf>
    <xf numFmtId="165" fontId="29" fillId="7" borderId="12" xfId="0" applyNumberFormat="1" applyFont="1" applyFill="1" applyBorder="1" applyProtection="1">
      <protection locked="0"/>
    </xf>
    <xf numFmtId="0" fontId="29" fillId="7" borderId="26" xfId="0" applyFont="1" applyFill="1" applyBorder="1" applyAlignment="1" applyProtection="1">
      <alignment horizontal="center"/>
      <protection locked="0"/>
    </xf>
    <xf numFmtId="0" fontId="26" fillId="5" borderId="11" xfId="0" applyFont="1" applyFill="1" applyBorder="1" applyProtection="1"/>
    <xf numFmtId="165" fontId="31" fillId="5" borderId="0" xfId="0" applyNumberFormat="1" applyFont="1" applyFill="1" applyProtection="1"/>
    <xf numFmtId="0" fontId="29" fillId="5" borderId="11" xfId="0" applyFont="1" applyFill="1" applyBorder="1" applyProtection="1"/>
    <xf numFmtId="165" fontId="3" fillId="5" borderId="0" xfId="0" applyNumberFormat="1" applyFont="1" applyFill="1" applyBorder="1" applyProtection="1"/>
    <xf numFmtId="165" fontId="3" fillId="3" borderId="11" xfId="0" applyNumberFormat="1" applyFont="1" applyFill="1" applyBorder="1" applyAlignment="1" applyProtection="1">
      <alignment horizontal="center"/>
    </xf>
    <xf numFmtId="165" fontId="3" fillId="5" borderId="0" xfId="0" applyNumberFormat="1" applyFont="1" applyFill="1" applyBorder="1" applyAlignment="1" applyProtection="1">
      <alignment horizontal="center"/>
    </xf>
    <xf numFmtId="165" fontId="3" fillId="3" borderId="28" xfId="0" applyNumberFormat="1" applyFont="1" applyFill="1" applyBorder="1" applyAlignment="1" applyProtection="1">
      <alignment horizontal="center"/>
    </xf>
    <xf numFmtId="0" fontId="30" fillId="3" borderId="22" xfId="0" applyFont="1" applyFill="1" applyBorder="1" applyProtection="1"/>
    <xf numFmtId="165" fontId="29" fillId="3" borderId="23" xfId="0" applyNumberFormat="1" applyFont="1" applyFill="1" applyBorder="1" applyProtection="1"/>
    <xf numFmtId="165" fontId="29" fillId="3" borderId="23" xfId="0" applyNumberFormat="1" applyFont="1" applyFill="1" applyBorder="1" applyAlignment="1" applyProtection="1">
      <alignment horizontal="center"/>
    </xf>
    <xf numFmtId="165" fontId="29" fillId="3" borderId="27" xfId="0" applyNumberFormat="1" applyFont="1" applyFill="1" applyBorder="1" applyAlignment="1" applyProtection="1">
      <alignment horizontal="center"/>
    </xf>
    <xf numFmtId="0" fontId="30" fillId="3" borderId="7" xfId="0" applyFont="1" applyFill="1" applyBorder="1" applyProtection="1"/>
    <xf numFmtId="165" fontId="29" fillId="3" borderId="8" xfId="0" applyNumberFormat="1" applyFont="1" applyFill="1" applyBorder="1" applyProtection="1"/>
    <xf numFmtId="165" fontId="29" fillId="3" borderId="8" xfId="0" applyNumberFormat="1" applyFont="1" applyFill="1" applyBorder="1" applyAlignment="1" applyProtection="1">
      <alignment horizontal="center"/>
    </xf>
    <xf numFmtId="165" fontId="30" fillId="5" borderId="0" xfId="0" applyNumberFormat="1" applyFont="1" applyFill="1" applyAlignment="1" applyProtection="1">
      <alignment horizontal="center"/>
    </xf>
    <xf numFmtId="165" fontId="28" fillId="5" borderId="0" xfId="0" applyNumberFormat="1" applyFont="1" applyFill="1" applyBorder="1" applyAlignment="1" applyProtection="1">
      <alignment wrapText="1"/>
    </xf>
    <xf numFmtId="0" fontId="28" fillId="5" borderId="0" xfId="0" applyFont="1" applyFill="1" applyAlignment="1" applyProtection="1">
      <alignment wrapText="1"/>
    </xf>
    <xf numFmtId="0" fontId="32" fillId="5" borderId="0" xfId="0" applyFont="1" applyFill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0"/>
  <sheetViews>
    <sheetView tabSelected="1" zoomScale="80" zoomScaleNormal="80" workbookViewId="0">
      <selection activeCell="F19" sqref="F19"/>
    </sheetView>
  </sheetViews>
  <sheetFormatPr baseColWidth="10" defaultColWidth="8.83203125" defaultRowHeight="16"/>
  <cols>
    <col min="1" max="1" width="4.1640625" style="105" customWidth="1"/>
    <col min="2" max="2" width="109.5" style="104" customWidth="1"/>
    <col min="3" max="3" width="15.5" style="104" customWidth="1"/>
    <col min="4" max="4" width="9.1640625" style="104"/>
    <col min="5" max="5" width="9.1640625" style="104" customWidth="1"/>
    <col min="6" max="6" width="24.83203125" style="104" bestFit="1" customWidth="1"/>
    <col min="7" max="7" width="9.1640625" style="104"/>
    <col min="8" max="10" width="8.83203125" style="104" hidden="1" customWidth="1"/>
    <col min="11" max="11" width="0" style="104" hidden="1" customWidth="1"/>
    <col min="12" max="13" width="9.1640625" style="104"/>
    <col min="14" max="16384" width="8.83203125" style="105"/>
  </cols>
  <sheetData>
    <row r="1" spans="2:7" ht="15" customHeight="1"/>
    <row r="2" spans="2:7" ht="25" customHeight="1">
      <c r="B2" s="170" t="s">
        <v>46</v>
      </c>
      <c r="C2" s="170"/>
      <c r="D2" s="170"/>
      <c r="E2" s="170"/>
      <c r="F2" s="170"/>
    </row>
    <row r="3" spans="2:7" ht="25" customHeight="1">
      <c r="B3" s="170" t="s">
        <v>69</v>
      </c>
      <c r="C3" s="170"/>
      <c r="D3" s="170"/>
      <c r="E3" s="170"/>
      <c r="F3" s="170"/>
    </row>
    <row r="4" spans="2:7" ht="17" customHeight="1" thickBot="1">
      <c r="B4" s="171"/>
      <c r="C4" s="171"/>
      <c r="D4" s="171"/>
      <c r="E4" s="171"/>
      <c r="F4" s="171"/>
      <c r="G4" s="125"/>
    </row>
    <row r="5" spans="2:7">
      <c r="B5" s="106" t="s">
        <v>59</v>
      </c>
      <c r="C5" s="116"/>
      <c r="D5" s="116"/>
      <c r="E5" s="116"/>
      <c r="F5" s="116"/>
    </row>
    <row r="6" spans="2:7" ht="17" thickBot="1">
      <c r="B6" s="152" t="s">
        <v>43</v>
      </c>
      <c r="C6" s="103"/>
      <c r="D6" s="103"/>
      <c r="E6" s="103"/>
      <c r="F6" s="103"/>
    </row>
    <row r="7" spans="2:7">
      <c r="B7" s="116"/>
      <c r="C7" s="107"/>
      <c r="D7" s="103"/>
      <c r="E7" s="103"/>
      <c r="F7" s="108" t="s">
        <v>62</v>
      </c>
    </row>
    <row r="8" spans="2:7">
      <c r="B8" s="116"/>
      <c r="C8" s="117"/>
      <c r="D8" s="116"/>
      <c r="E8" s="116"/>
      <c r="F8" s="118" t="s">
        <v>58</v>
      </c>
    </row>
    <row r="9" spans="2:7" ht="15.75" customHeight="1">
      <c r="B9" s="109" t="s">
        <v>47</v>
      </c>
      <c r="C9" s="110"/>
      <c r="D9" s="119"/>
      <c r="E9" s="119"/>
      <c r="F9" s="151">
        <v>150000</v>
      </c>
    </row>
    <row r="10" spans="2:7" ht="15" customHeight="1">
      <c r="B10" s="109" t="s">
        <v>48</v>
      </c>
      <c r="C10" s="110"/>
      <c r="D10" s="119"/>
      <c r="E10" s="119"/>
      <c r="F10" s="151"/>
    </row>
    <row r="11" spans="2:7" ht="15" customHeight="1">
      <c r="B11" s="109" t="s">
        <v>49</v>
      </c>
      <c r="C11" s="110"/>
      <c r="D11" s="119"/>
      <c r="E11" s="119"/>
      <c r="F11" s="151"/>
    </row>
    <row r="12" spans="2:7" ht="15" customHeight="1">
      <c r="B12" s="109" t="s">
        <v>50</v>
      </c>
      <c r="C12" s="110"/>
      <c r="D12" s="119"/>
      <c r="E12" s="119"/>
      <c r="F12" s="151"/>
    </row>
    <row r="13" spans="2:7" ht="17">
      <c r="B13" s="109" t="s">
        <v>51</v>
      </c>
      <c r="C13" s="110"/>
      <c r="D13" s="119"/>
      <c r="E13" s="119"/>
      <c r="F13" s="151"/>
    </row>
    <row r="14" spans="2:7" ht="15" customHeight="1">
      <c r="B14" s="109" t="s">
        <v>52</v>
      </c>
      <c r="C14" s="110"/>
      <c r="D14" s="119"/>
      <c r="E14" s="119"/>
      <c r="F14" s="151"/>
    </row>
    <row r="15" spans="2:7" ht="17">
      <c r="B15" s="109" t="s">
        <v>53</v>
      </c>
      <c r="C15" s="110"/>
      <c r="D15" s="119"/>
      <c r="E15" s="119"/>
      <c r="F15" s="151"/>
    </row>
    <row r="16" spans="2:7" ht="15" customHeight="1">
      <c r="B16" s="109" t="s">
        <v>54</v>
      </c>
      <c r="C16" s="110"/>
      <c r="D16" s="168"/>
      <c r="E16" s="169"/>
      <c r="F16" s="151"/>
    </row>
    <row r="17" spans="2:10" ht="15" customHeight="1">
      <c r="B17" s="109" t="s">
        <v>55</v>
      </c>
      <c r="C17" s="110"/>
      <c r="D17" s="119"/>
      <c r="E17" s="119"/>
      <c r="F17" s="151"/>
    </row>
    <row r="18" spans="2:10" ht="15" customHeight="1">
      <c r="B18" s="109" t="s">
        <v>56</v>
      </c>
      <c r="C18" s="110"/>
      <c r="D18" s="119"/>
      <c r="E18" s="119"/>
      <c r="F18" s="151"/>
    </row>
    <row r="19" spans="2:10" ht="15" customHeight="1">
      <c r="B19" s="109" t="s">
        <v>57</v>
      </c>
      <c r="C19" s="110"/>
      <c r="D19" s="119"/>
      <c r="E19" s="119"/>
      <c r="F19" s="151"/>
    </row>
    <row r="20" spans="2:10" ht="17" thickBot="1">
      <c r="B20" s="116"/>
      <c r="C20" s="120"/>
      <c r="D20" s="123"/>
      <c r="E20" s="119"/>
      <c r="F20" s="122">
        <f>SUM(F9:F19)</f>
        <v>150000</v>
      </c>
    </row>
    <row r="21" spans="2:10" ht="17" thickTop="1">
      <c r="B21" s="116"/>
      <c r="C21" s="120"/>
      <c r="D21" s="123"/>
      <c r="E21" s="119"/>
      <c r="F21" s="124"/>
    </row>
    <row r="22" spans="2:10">
      <c r="B22" s="116"/>
      <c r="C22" s="172" t="s">
        <v>60</v>
      </c>
      <c r="D22" s="172"/>
      <c r="E22" s="172"/>
      <c r="F22" s="119"/>
    </row>
    <row r="23" spans="2:10" ht="17" thickBot="1">
      <c r="B23" s="116"/>
      <c r="C23" s="167" t="s">
        <v>61</v>
      </c>
      <c r="D23" s="167"/>
      <c r="E23" s="167"/>
      <c r="F23" s="119"/>
    </row>
    <row r="24" spans="2:10" ht="17" thickBot="1">
      <c r="B24" s="153" t="s">
        <v>63</v>
      </c>
      <c r="C24" s="116"/>
      <c r="D24" s="150">
        <v>0</v>
      </c>
      <c r="E24" s="119"/>
      <c r="F24" s="154">
        <f>-D24*Rates!D23</f>
        <v>0</v>
      </c>
      <c r="J24" s="112"/>
    </row>
    <row r="25" spans="2:10">
      <c r="B25" s="116"/>
      <c r="C25" s="119"/>
      <c r="D25" s="119"/>
      <c r="E25" s="119"/>
      <c r="F25" s="119"/>
    </row>
    <row r="26" spans="2:10" ht="17" thickBot="1">
      <c r="B26" s="116"/>
      <c r="C26" s="119"/>
      <c r="D26" s="119"/>
      <c r="E26" s="119"/>
      <c r="F26" s="119"/>
    </row>
    <row r="27" spans="2:10" ht="17" thickBot="1">
      <c r="B27" s="155" t="s">
        <v>64</v>
      </c>
      <c r="C27" s="116"/>
      <c r="D27" s="119"/>
      <c r="E27" s="119"/>
      <c r="F27" s="113">
        <f>SUM(F20:F25)</f>
        <v>150000</v>
      </c>
      <c r="H27" s="111" t="s">
        <v>36</v>
      </c>
      <c r="I27" s="111"/>
      <c r="J27" s="114" t="str">
        <f>LEFT(+$B$6,1)</f>
        <v>B</v>
      </c>
    </row>
    <row r="28" spans="2:10">
      <c r="B28" s="117"/>
      <c r="C28" s="116"/>
      <c r="D28" s="119"/>
      <c r="E28" s="119"/>
      <c r="F28" s="156"/>
      <c r="H28" s="111"/>
      <c r="I28" s="111"/>
      <c r="J28" s="156"/>
    </row>
    <row r="29" spans="2:10" ht="17" thickBot="1">
      <c r="B29" s="116"/>
      <c r="C29" s="119"/>
      <c r="D29" s="119"/>
      <c r="E29" s="119"/>
      <c r="F29" s="119"/>
    </row>
    <row r="30" spans="2:10" ht="17" thickBot="1">
      <c r="B30" s="126"/>
      <c r="C30" s="127"/>
      <c r="D30" s="128" t="s">
        <v>37</v>
      </c>
      <c r="E30" s="128"/>
      <c r="F30" s="129" t="s">
        <v>25</v>
      </c>
    </row>
    <row r="31" spans="2:10" ht="17" hidden="1" thickBot="1">
      <c r="B31" s="130" t="s">
        <v>65</v>
      </c>
      <c r="C31" s="131"/>
      <c r="D31" s="115">
        <f>IF(F31="N/A","N/A",F31/3)</f>
        <v>8505</v>
      </c>
      <c r="E31" s="132"/>
      <c r="F31" s="115">
        <f>IF(J27="B",IF(F27&lt;Calc!F5+1,0,Calc!H21),"N/A")</f>
        <v>25515</v>
      </c>
    </row>
    <row r="32" spans="2:10" ht="17" hidden="1" thickBot="1">
      <c r="B32" s="130"/>
      <c r="C32" s="131"/>
      <c r="D32" s="158"/>
      <c r="E32" s="132"/>
      <c r="F32" s="147"/>
    </row>
    <row r="33" spans="2:11" ht="17" thickBot="1">
      <c r="B33" s="130" t="s">
        <v>65</v>
      </c>
      <c r="C33" s="131"/>
      <c r="D33" s="115">
        <f>IF(F33="N/A","N/A",ROUND(F33/3,0))</f>
        <v>8505</v>
      </c>
      <c r="E33" s="146"/>
      <c r="F33" s="115">
        <f>IF(F31="N/A","N/A",(IF(F31&gt;K33,K33,F31)))</f>
        <v>25515</v>
      </c>
      <c r="K33" s="104">
        <f>VLOOKUP(B6,Rates!$A$12:$D$15,4,0)</f>
        <v>34920</v>
      </c>
    </row>
    <row r="34" spans="2:11" ht="17" thickBot="1">
      <c r="B34" s="130"/>
      <c r="C34" s="131"/>
      <c r="D34" s="132"/>
      <c r="E34" s="132"/>
      <c r="F34" s="133"/>
    </row>
    <row r="35" spans="2:11" ht="17" thickBot="1">
      <c r="B35" s="134" t="s">
        <v>38</v>
      </c>
      <c r="C35" s="131"/>
      <c r="D35" s="135">
        <f>IF(F35="N/A","N/A",ROUND(+F35/3,0))</f>
        <v>11640</v>
      </c>
      <c r="E35" s="136"/>
      <c r="F35" s="137">
        <f>IF(F31="N/A","N/A",VLOOKUP($B$6,Rates!$A$12:$D$15,4,FALSE))</f>
        <v>34920</v>
      </c>
    </row>
    <row r="36" spans="2:11" ht="17" thickBot="1">
      <c r="B36" s="130"/>
      <c r="C36" s="131"/>
      <c r="D36" s="132"/>
      <c r="E36" s="132"/>
      <c r="F36" s="133"/>
    </row>
    <row r="37" spans="2:11" ht="17" thickBot="1">
      <c r="B37" s="134" t="s">
        <v>39</v>
      </c>
      <c r="C37" s="131"/>
      <c r="D37" s="138">
        <f>IF(D35="N/A","N/A",IF(D35-D31&lt;0,0,D35-D31))</f>
        <v>3135</v>
      </c>
      <c r="E37" s="132"/>
      <c r="F37" s="138">
        <f>IF(F35="N/A","N/A",IF(F35-F31&lt;0,0,F35-F31))</f>
        <v>9405</v>
      </c>
    </row>
    <row r="38" spans="2:11" ht="17" thickBot="1">
      <c r="B38" s="130"/>
      <c r="C38" s="131"/>
      <c r="D38" s="132"/>
      <c r="E38" s="132"/>
      <c r="F38" s="133"/>
    </row>
    <row r="39" spans="2:11" ht="17" thickBot="1">
      <c r="B39" s="160" t="s">
        <v>67</v>
      </c>
      <c r="C39" s="161"/>
      <c r="D39" s="162"/>
      <c r="E39" s="163"/>
      <c r="F39" s="159" t="str">
        <f>IF(F31="N/A","N/A",IF(F31&gt;F35,"SORRY, NO","YES"))</f>
        <v>YES</v>
      </c>
    </row>
    <row r="40" spans="2:11" ht="17" thickBot="1">
      <c r="B40" s="116"/>
      <c r="C40" s="119"/>
      <c r="D40" s="121"/>
      <c r="E40" s="121"/>
      <c r="F40" s="121"/>
    </row>
    <row r="41" spans="2:11" ht="17" thickBot="1">
      <c r="B41" s="139"/>
      <c r="C41" s="140"/>
      <c r="D41" s="141" t="s">
        <v>37</v>
      </c>
      <c r="E41" s="141"/>
      <c r="F41" s="142" t="s">
        <v>25</v>
      </c>
    </row>
    <row r="42" spans="2:11" ht="17" hidden="1" thickBot="1">
      <c r="B42" s="143" t="s">
        <v>66</v>
      </c>
      <c r="C42" s="131"/>
      <c r="D42" s="115" t="str">
        <f>IF(F42="N/A","N/A",ROUND(F42/3,0))</f>
        <v>N/A</v>
      </c>
      <c r="E42" s="144"/>
      <c r="F42" s="115" t="str">
        <f>IF(J27="D",IF(F27&lt;Calc!F27+1,0,Calc!H40),"N/A")</f>
        <v>N/A</v>
      </c>
    </row>
    <row r="43" spans="2:11" ht="17" hidden="1" thickBot="1">
      <c r="B43" s="145"/>
      <c r="C43" s="131"/>
      <c r="D43" s="146"/>
      <c r="E43" s="146"/>
      <c r="F43" s="147"/>
    </row>
    <row r="44" spans="2:11" ht="17" thickBot="1">
      <c r="B44" s="143" t="s">
        <v>66</v>
      </c>
      <c r="C44" s="131"/>
      <c r="D44" s="115" t="str">
        <f>IF(F44="N/A","N/A",ROUND(F44/3,0))</f>
        <v>N/A</v>
      </c>
      <c r="E44" s="146"/>
      <c r="F44" s="115" t="str">
        <f>IF(F42="N/A","N/A",(IF(F42&gt;K44,K44,F42)))</f>
        <v>N/A</v>
      </c>
      <c r="K44" s="104">
        <f>VLOOKUP(B6,Rates!$A$12:$D$15,4,0)</f>
        <v>34920</v>
      </c>
    </row>
    <row r="45" spans="2:11" ht="17" thickBot="1">
      <c r="B45" s="145"/>
      <c r="C45" s="131"/>
      <c r="D45" s="146"/>
      <c r="E45" s="146"/>
      <c r="F45" s="147"/>
    </row>
    <row r="46" spans="2:11" ht="17" thickBot="1">
      <c r="B46" s="143" t="s">
        <v>40</v>
      </c>
      <c r="C46" s="131"/>
      <c r="D46" s="135" t="str">
        <f>IF(F46="N/A","N/A",ROUND(+F46/3,0))</f>
        <v>N/A</v>
      </c>
      <c r="E46" s="136"/>
      <c r="F46" s="148" t="str">
        <f>IF(F42="N/A","N/A",VLOOKUP($B$6,Rates!$A$12:$D$15,4,FALSE))</f>
        <v>N/A</v>
      </c>
    </row>
    <row r="47" spans="2:11" ht="17" thickBot="1">
      <c r="B47" s="143"/>
      <c r="C47" s="131"/>
      <c r="D47" s="132"/>
      <c r="E47" s="132"/>
      <c r="F47" s="149"/>
    </row>
    <row r="48" spans="2:11" ht="17" thickBot="1">
      <c r="B48" s="143" t="s">
        <v>39</v>
      </c>
      <c r="C48" s="131"/>
      <c r="D48" s="138" t="str">
        <f>IF(D46="N/A","N/A",IF(D46-D42&lt;0,0,D46-D42))</f>
        <v>N/A</v>
      </c>
      <c r="E48" s="132"/>
      <c r="F48" s="138" t="str">
        <f>IF(F46="N/A","N/A",IF(F46-F42&lt;0,0,F46-F42))</f>
        <v>N/A</v>
      </c>
    </row>
    <row r="49" spans="2:6" ht="17" thickBot="1">
      <c r="B49" s="143"/>
      <c r="C49" s="131"/>
      <c r="D49" s="132"/>
      <c r="E49" s="132"/>
      <c r="F49" s="149"/>
    </row>
    <row r="50" spans="2:6" ht="17" thickBot="1">
      <c r="B50" s="164" t="s">
        <v>68</v>
      </c>
      <c r="C50" s="165"/>
      <c r="D50" s="166"/>
      <c r="E50" s="166"/>
      <c r="F50" s="157" t="str">
        <f>IF(F42="N/A","N/A",IF(F42&gt;F46,"SORRY, NO","YES"))</f>
        <v>N/A</v>
      </c>
    </row>
  </sheetData>
  <sheetProtection algorithmName="SHA-512" hashValue="4F/cqrWREAGYxWkkWKcq7GtWy2nx7+bfTLi5qgWqaEB+RJPmmiTygEKC03nHW6xy8kZSnGyKYxH89wqidniDBw==" saltValue="/TY+coC56z9q5lk/ddP0ZA==" spinCount="100000" sheet="1" selectLockedCells="1"/>
  <mergeCells count="6">
    <mergeCell ref="C23:E23"/>
    <mergeCell ref="D16:E16"/>
    <mergeCell ref="B2:F2"/>
    <mergeCell ref="B4:F4"/>
    <mergeCell ref="C22:E22"/>
    <mergeCell ref="B3:F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Rates!$A$12:$A$15</xm:f>
          </x14:formula1>
          <xm:sqref>B6</xm:sqref>
        </x14:dataValidation>
        <x14:dataValidation type="list" allowBlank="1" showInputMessage="1" showErrorMessage="1" xr:uid="{00000000-0002-0000-0000-000001000000}">
          <x14:formula1>
            <xm:f>Rates!$D$25:$D$30</xm:f>
          </x14:formula1>
          <xm:sqref>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0"/>
  <sheetViews>
    <sheetView workbookViewId="0">
      <selection activeCell="D12" sqref="D12"/>
    </sheetView>
  </sheetViews>
  <sheetFormatPr baseColWidth="10" defaultColWidth="8.83203125" defaultRowHeight="15"/>
  <cols>
    <col min="1" max="1" width="16.5" bestFit="1" customWidth="1"/>
    <col min="2" max="2" width="38.5" bestFit="1" customWidth="1"/>
    <col min="4" max="4" width="12" bestFit="1" customWidth="1"/>
    <col min="5" max="5" width="10.33203125" bestFit="1" customWidth="1"/>
    <col min="9" max="10" width="13.1640625" bestFit="1" customWidth="1"/>
  </cols>
  <sheetData>
    <row r="4" spans="1:5">
      <c r="B4" s="92" t="s">
        <v>22</v>
      </c>
      <c r="D4" s="93" t="s">
        <v>23</v>
      </c>
      <c r="E4" s="94"/>
    </row>
    <row r="5" spans="1:5">
      <c r="A5" s="95"/>
      <c r="B5" s="96" t="s">
        <v>24</v>
      </c>
      <c r="C5" s="96"/>
      <c r="D5" s="95" t="s">
        <v>25</v>
      </c>
      <c r="E5" s="95" t="s">
        <v>26</v>
      </c>
    </row>
    <row r="6" spans="1:5">
      <c r="A6" s="97" t="s">
        <v>27</v>
      </c>
      <c r="B6" s="97" t="s">
        <v>28</v>
      </c>
      <c r="D6" s="98">
        <v>37818</v>
      </c>
      <c r="E6" s="99">
        <f>+D6/3</f>
        <v>12606</v>
      </c>
    </row>
    <row r="7" spans="1:5">
      <c r="A7" s="97" t="s">
        <v>29</v>
      </c>
      <c r="B7" s="97" t="s">
        <v>30</v>
      </c>
      <c r="D7" s="98">
        <v>26456</v>
      </c>
      <c r="E7" s="99">
        <f>+D7/3</f>
        <v>8818.6666666666661</v>
      </c>
    </row>
    <row r="8" spans="1:5">
      <c r="A8" s="97" t="s">
        <v>31</v>
      </c>
      <c r="B8" s="97" t="s">
        <v>32</v>
      </c>
      <c r="D8" s="98">
        <v>35565</v>
      </c>
      <c r="E8" s="99">
        <f t="shared" ref="E8:E9" si="0">+D8/3</f>
        <v>11855</v>
      </c>
    </row>
    <row r="9" spans="1:5">
      <c r="A9" s="97" t="s">
        <v>33</v>
      </c>
      <c r="B9" s="97" t="s">
        <v>34</v>
      </c>
      <c r="D9" s="98">
        <v>24219</v>
      </c>
      <c r="E9" s="99">
        <f t="shared" si="0"/>
        <v>8073</v>
      </c>
    </row>
    <row r="10" spans="1:5">
      <c r="B10" s="97"/>
      <c r="D10" s="98"/>
      <c r="E10" s="99"/>
    </row>
    <row r="11" spans="1:5">
      <c r="B11" s="92" t="s">
        <v>35</v>
      </c>
      <c r="D11" s="98"/>
      <c r="E11" s="99"/>
    </row>
    <row r="12" spans="1:5">
      <c r="A12" s="97" t="s">
        <v>43</v>
      </c>
      <c r="B12" s="97" t="s">
        <v>28</v>
      </c>
      <c r="D12" s="100">
        <f>+E12*3</f>
        <v>34920</v>
      </c>
      <c r="E12" s="101">
        <v>11640</v>
      </c>
    </row>
    <row r="13" spans="1:5">
      <c r="A13" s="97" t="s">
        <v>42</v>
      </c>
      <c r="B13" s="97" t="s">
        <v>30</v>
      </c>
      <c r="D13" s="100">
        <f t="shared" ref="D13:D15" si="1">+E13*3</f>
        <v>23310</v>
      </c>
      <c r="E13" s="101">
        <v>7770</v>
      </c>
    </row>
    <row r="14" spans="1:5">
      <c r="A14" s="97" t="s">
        <v>41</v>
      </c>
      <c r="B14" s="97" t="s">
        <v>32</v>
      </c>
      <c r="D14" s="100">
        <f t="shared" si="1"/>
        <v>32610</v>
      </c>
      <c r="E14" s="101">
        <v>10870</v>
      </c>
    </row>
    <row r="15" spans="1:5">
      <c r="A15" s="97" t="s">
        <v>44</v>
      </c>
      <c r="B15" s="97" t="s">
        <v>34</v>
      </c>
      <c r="D15" s="100">
        <f t="shared" si="1"/>
        <v>21060</v>
      </c>
      <c r="E15" s="101">
        <v>7020</v>
      </c>
    </row>
    <row r="23" spans="2:4">
      <c r="B23" t="s">
        <v>45</v>
      </c>
      <c r="C23" s="102"/>
      <c r="D23" s="98">
        <v>2156</v>
      </c>
    </row>
    <row r="25" spans="2:4">
      <c r="D25">
        <v>0</v>
      </c>
    </row>
    <row r="26" spans="2:4">
      <c r="D26">
        <v>1</v>
      </c>
    </row>
    <row r="27" spans="2:4">
      <c r="D27">
        <v>2</v>
      </c>
    </row>
    <row r="28" spans="2:4">
      <c r="D28">
        <v>3</v>
      </c>
    </row>
    <row r="29" spans="2:4">
      <c r="D29">
        <v>4</v>
      </c>
    </row>
    <row r="30" spans="2:4">
      <c r="D30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workbookViewId="0">
      <selection activeCell="D12" sqref="D12"/>
    </sheetView>
  </sheetViews>
  <sheetFormatPr baseColWidth="10" defaultColWidth="8.83203125" defaultRowHeight="15"/>
  <sheetData>
    <row r="1" spans="1:12" ht="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6" thickBot="1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0"/>
    </row>
    <row r="5" spans="1:12" ht="28">
      <c r="A5" s="11" t="s">
        <v>2</v>
      </c>
      <c r="B5" s="12" t="s">
        <v>3</v>
      </c>
      <c r="C5" s="13"/>
      <c r="D5" s="13"/>
      <c r="E5" s="13" t="s">
        <v>4</v>
      </c>
      <c r="F5" s="14">
        <f>+B10-1</f>
        <v>13443.11</v>
      </c>
      <c r="G5" s="15" t="s">
        <v>5</v>
      </c>
      <c r="H5" s="16"/>
      <c r="I5" s="16"/>
      <c r="J5" s="16"/>
      <c r="K5" s="16"/>
      <c r="L5" s="17"/>
    </row>
    <row r="6" spans="1:12">
      <c r="A6" s="8"/>
      <c r="B6" s="9"/>
      <c r="C6" s="9"/>
      <c r="D6" s="9"/>
      <c r="E6" s="9"/>
      <c r="F6" s="9"/>
      <c r="G6" s="18" t="s">
        <v>6</v>
      </c>
      <c r="H6" s="18"/>
      <c r="I6" s="9"/>
      <c r="J6" s="9"/>
      <c r="K6" s="9"/>
      <c r="L6" s="10"/>
    </row>
    <row r="7" spans="1:12">
      <c r="A7" s="8"/>
      <c r="B7" s="9"/>
      <c r="C7" s="9"/>
      <c r="D7" s="9"/>
      <c r="E7" s="9"/>
      <c r="F7" s="9"/>
      <c r="G7" s="18" t="s">
        <v>7</v>
      </c>
      <c r="H7" s="18" t="s">
        <v>8</v>
      </c>
      <c r="I7" s="9"/>
      <c r="J7" s="9"/>
      <c r="K7" s="9"/>
      <c r="L7" s="10"/>
    </row>
    <row r="8" spans="1:12">
      <c r="A8" s="19" t="s">
        <v>9</v>
      </c>
      <c r="B8" s="9"/>
      <c r="C8" s="9"/>
      <c r="D8" s="9" t="s">
        <v>10</v>
      </c>
      <c r="E8" s="20" t="s">
        <v>11</v>
      </c>
      <c r="F8" s="21" t="s">
        <v>12</v>
      </c>
      <c r="G8" s="18" t="s">
        <v>13</v>
      </c>
      <c r="H8" s="18" t="s">
        <v>14</v>
      </c>
      <c r="I8" s="22" t="s">
        <v>15</v>
      </c>
      <c r="J8" s="9"/>
      <c r="K8" s="9"/>
      <c r="L8" s="10"/>
    </row>
    <row r="9" spans="1:12">
      <c r="A9" s="8"/>
      <c r="B9" s="9"/>
      <c r="C9" s="9"/>
      <c r="D9" s="9"/>
      <c r="E9" s="9"/>
      <c r="F9" s="9"/>
      <c r="G9" s="9"/>
      <c r="H9" s="9"/>
      <c r="I9" s="9"/>
      <c r="J9" s="23" t="s">
        <v>16</v>
      </c>
      <c r="K9" s="23" t="s">
        <v>17</v>
      </c>
      <c r="L9" s="10"/>
    </row>
    <row r="10" spans="1:12">
      <c r="A10" s="24" t="s">
        <v>18</v>
      </c>
      <c r="B10" s="25">
        <v>13444.11</v>
      </c>
      <c r="C10" s="26">
        <v>16605.41</v>
      </c>
      <c r="D10" s="27">
        <f t="shared" ref="D10:D15" si="0">C10-B10</f>
        <v>3161.2999999999993</v>
      </c>
      <c r="E10" s="28">
        <v>6.1</v>
      </c>
      <c r="F10" s="29">
        <f>(C10-B10+1)*E10/100</f>
        <v>192.90029999999996</v>
      </c>
      <c r="G10" s="30">
        <f>IF(Input!$F$27&lt;Calc!B10,0,IF(Input!$F$27&gt;Calc!C10,0,Input!$F$27))</f>
        <v>0</v>
      </c>
      <c r="H10" s="31">
        <f t="shared" ref="H10:H15" si="1">IF(G10=0,0,INT(I10/3)*3)</f>
        <v>0</v>
      </c>
      <c r="I10" s="29">
        <f>((G10-B10+1)*E10/100)</f>
        <v>-820.02971000000002</v>
      </c>
      <c r="J10" s="32">
        <f t="shared" ref="J10:J15" si="2">E10*1.5/2</f>
        <v>4.5749999999999993</v>
      </c>
      <c r="K10" s="32">
        <f t="shared" ref="K10:K15" si="3">E10*1.75/3</f>
        <v>3.5583333333333331</v>
      </c>
      <c r="L10" s="10"/>
    </row>
    <row r="11" spans="1:12">
      <c r="A11" s="24" t="s">
        <v>18</v>
      </c>
      <c r="B11" s="27">
        <v>16606.420000000002</v>
      </c>
      <c r="C11" s="26">
        <v>23522.9</v>
      </c>
      <c r="D11" s="27">
        <f t="shared" si="0"/>
        <v>6916.48</v>
      </c>
      <c r="E11" s="28">
        <v>11.1</v>
      </c>
      <c r="F11" s="29">
        <f t="shared" ref="F11:F15" si="4">(C11-B11+1)*E11/100</f>
        <v>767.84027999999989</v>
      </c>
      <c r="G11" s="30">
        <f>IF(Input!$F$27&lt;Calc!B11,0,IF(Input!$F$27&gt;Calc!C11,0,Input!$F$27))</f>
        <v>0</v>
      </c>
      <c r="H11" s="31">
        <f t="shared" si="1"/>
        <v>0</v>
      </c>
      <c r="I11" s="29">
        <f>((G11-B11+1)*E11/100)+F10</f>
        <v>-1650.30132</v>
      </c>
      <c r="J11" s="32">
        <f t="shared" si="2"/>
        <v>8.3249999999999993</v>
      </c>
      <c r="K11" s="32">
        <f t="shared" si="3"/>
        <v>6.4750000000000005</v>
      </c>
      <c r="L11" s="10"/>
    </row>
    <row r="12" spans="1:12">
      <c r="A12" s="24" t="s">
        <v>18</v>
      </c>
      <c r="B12" s="27">
        <v>23522.9</v>
      </c>
      <c r="C12" s="26">
        <v>34595.53</v>
      </c>
      <c r="D12" s="27">
        <f t="shared" si="0"/>
        <v>11072.629999999997</v>
      </c>
      <c r="E12" s="28">
        <v>13.1</v>
      </c>
      <c r="F12" s="29">
        <f t="shared" si="4"/>
        <v>1450.6455299999996</v>
      </c>
      <c r="G12" s="30">
        <f>IF(Input!$F$27&lt;Calc!B12,0,IF(Input!$F$27&gt;Calc!C12,0,Input!$F$27))</f>
        <v>0</v>
      </c>
      <c r="H12" s="31">
        <f t="shared" si="1"/>
        <v>0</v>
      </c>
      <c r="I12" s="29">
        <f>((G12-B12+1)*E12/100)+F10+F11</f>
        <v>-2120.6283200000003</v>
      </c>
      <c r="J12" s="32">
        <f t="shared" si="2"/>
        <v>9.8249999999999993</v>
      </c>
      <c r="K12" s="32">
        <f t="shared" si="3"/>
        <v>7.6416666666666666</v>
      </c>
      <c r="L12" s="10"/>
    </row>
    <row r="13" spans="1:12">
      <c r="A13" s="24" t="s">
        <v>18</v>
      </c>
      <c r="B13" s="27">
        <v>34595.53</v>
      </c>
      <c r="C13" s="26">
        <v>48431.519999999997</v>
      </c>
      <c r="D13" s="27">
        <f t="shared" si="0"/>
        <v>13835.989999999998</v>
      </c>
      <c r="E13" s="28">
        <v>16.100000000000001</v>
      </c>
      <c r="F13" s="29">
        <f t="shared" si="4"/>
        <v>2227.7553899999998</v>
      </c>
      <c r="G13" s="30">
        <f>IF(Input!$F$27&lt;Calc!B13,0,IF(Input!$F$27&gt;Calc!C13,0,Input!$F$27))</f>
        <v>0</v>
      </c>
      <c r="H13" s="31">
        <f t="shared" si="1"/>
        <v>0</v>
      </c>
      <c r="I13" s="29">
        <f>((G13-B13+1)*E13/100)+SUM(F10:F12)</f>
        <v>-3158.3332200000013</v>
      </c>
      <c r="J13" s="32">
        <f t="shared" si="2"/>
        <v>12.075000000000001</v>
      </c>
      <c r="K13" s="32">
        <f t="shared" si="3"/>
        <v>9.3916666666666675</v>
      </c>
      <c r="L13" s="10"/>
    </row>
    <row r="14" spans="1:12">
      <c r="A14" s="24" t="s">
        <v>18</v>
      </c>
      <c r="B14" s="27">
        <v>48432.53</v>
      </c>
      <c r="C14" s="26">
        <v>69225.399999999994</v>
      </c>
      <c r="D14" s="27">
        <f t="shared" si="0"/>
        <v>20792.869999999995</v>
      </c>
      <c r="E14" s="28">
        <v>19.100000000000001</v>
      </c>
      <c r="F14" s="29">
        <f t="shared" si="4"/>
        <v>3971.6291699999997</v>
      </c>
      <c r="G14" s="30">
        <f>IF(Input!$F$27&lt;Calc!B14,0,IF(Input!$F$27&gt;Calc!C14,0,Input!$F$27))</f>
        <v>0</v>
      </c>
      <c r="H14" s="31">
        <f t="shared" si="1"/>
        <v>0</v>
      </c>
      <c r="I14" s="29">
        <f>((G14-B14+1)*E14/100)+SUM(F10:F13)</f>
        <v>-4611.2807300000004</v>
      </c>
      <c r="J14" s="32">
        <f t="shared" si="2"/>
        <v>14.325000000000001</v>
      </c>
      <c r="K14" s="32">
        <f t="shared" si="3"/>
        <v>11.141666666666667</v>
      </c>
      <c r="L14" s="10"/>
    </row>
    <row r="15" spans="1:12">
      <c r="A15" s="24" t="s">
        <v>18</v>
      </c>
      <c r="B15" s="27">
        <v>69225.399999999994</v>
      </c>
      <c r="C15" s="26">
        <v>83030.080000000002</v>
      </c>
      <c r="D15" s="27">
        <f t="shared" si="0"/>
        <v>13804.680000000008</v>
      </c>
      <c r="E15" s="28">
        <v>20.100000000000001</v>
      </c>
      <c r="F15" s="29">
        <f t="shared" si="4"/>
        <v>2774.9416800000017</v>
      </c>
      <c r="G15" s="30">
        <f>IF(Input!$F$27&lt;Calc!B15,0,IF(Input!$F$27&gt;Calc!C15,0,Input!$F$27))</f>
        <v>0</v>
      </c>
      <c r="H15" s="31">
        <f t="shared" si="1"/>
        <v>0</v>
      </c>
      <c r="I15" s="29">
        <f>((G15-B15+1)*E15/100)+SUM(F10:F14)</f>
        <v>-5303.3337300000003</v>
      </c>
      <c r="J15" s="32">
        <f t="shared" si="2"/>
        <v>15.075000000000001</v>
      </c>
      <c r="K15" s="32">
        <f t="shared" si="3"/>
        <v>11.725000000000001</v>
      </c>
      <c r="L15" s="10"/>
    </row>
    <row r="16" spans="1:12">
      <c r="A16" s="8"/>
      <c r="B16" s="27"/>
      <c r="C16" s="27"/>
      <c r="D16" s="27"/>
      <c r="E16" s="9"/>
      <c r="F16" s="9"/>
      <c r="G16" s="33"/>
      <c r="H16" s="34"/>
      <c r="I16" s="9"/>
      <c r="J16" s="32"/>
      <c r="K16" s="32"/>
      <c r="L16" s="10"/>
    </row>
    <row r="17" spans="1:12">
      <c r="A17" s="8"/>
      <c r="B17" s="27"/>
      <c r="C17" s="27"/>
      <c r="D17" s="27"/>
      <c r="E17" s="21" t="s">
        <v>19</v>
      </c>
      <c r="F17" s="29">
        <f>SUM(F10:F15)</f>
        <v>11385.712350000002</v>
      </c>
      <c r="G17" s="29"/>
      <c r="H17" s="35"/>
      <c r="I17" s="9"/>
      <c r="J17" s="32"/>
      <c r="K17" s="32"/>
      <c r="L17" s="10"/>
    </row>
    <row r="18" spans="1:12">
      <c r="A18" s="36"/>
      <c r="B18" s="37"/>
      <c r="C18" s="37"/>
      <c r="D18" s="27"/>
      <c r="E18" s="38"/>
      <c r="F18" s="39"/>
      <c r="G18" s="40"/>
      <c r="H18" s="41"/>
      <c r="I18" s="32"/>
      <c r="J18" s="32"/>
      <c r="K18" s="32"/>
      <c r="L18" s="10"/>
    </row>
    <row r="19" spans="1:12">
      <c r="A19" s="24" t="s">
        <v>20</v>
      </c>
      <c r="B19" s="27">
        <f>+C15</f>
        <v>83030.080000000002</v>
      </c>
      <c r="C19" s="27"/>
      <c r="D19" s="27"/>
      <c r="E19" s="28">
        <v>21.1</v>
      </c>
      <c r="F19" s="9"/>
      <c r="G19" s="30">
        <f>IF(Input!$F$27&lt;=Calc!B19,0,IF(Input!$F$27&gt;=Calc!C19,Input!$F$27))</f>
        <v>150000</v>
      </c>
      <c r="H19" s="31">
        <f>IF(G19=0,0,INT(I19/3)*3)</f>
        <v>25515</v>
      </c>
      <c r="I19" s="29">
        <f>((G19-B19)*E19/100)+F17</f>
        <v>25516.365470000004</v>
      </c>
      <c r="J19" s="32">
        <f>E19*1.5/2</f>
        <v>15.825000000000001</v>
      </c>
      <c r="K19" s="32">
        <f>E19*1.75/3</f>
        <v>12.308333333333335</v>
      </c>
      <c r="L19" s="10"/>
    </row>
    <row r="20" spans="1:12" ht="16" thickBot="1">
      <c r="A20" s="8"/>
      <c r="B20" s="9"/>
      <c r="C20" s="9"/>
      <c r="D20" s="27"/>
      <c r="E20" s="9"/>
      <c r="F20" s="9"/>
      <c r="G20" s="42"/>
      <c r="H20" s="9"/>
      <c r="I20" s="9"/>
      <c r="J20" s="43"/>
      <c r="K20" s="43"/>
      <c r="L20" s="10"/>
    </row>
    <row r="21" spans="1:12" ht="17" thickTop="1" thickBot="1">
      <c r="A21" s="8"/>
      <c r="B21" s="9"/>
      <c r="C21" s="9"/>
      <c r="D21" s="27"/>
      <c r="E21" s="9"/>
      <c r="F21" s="9"/>
      <c r="G21" s="42"/>
      <c r="H21" s="44">
        <f>SUM(H10:H20)</f>
        <v>25515</v>
      </c>
      <c r="I21" s="9"/>
      <c r="J21" s="43"/>
      <c r="K21" s="43"/>
      <c r="L21" s="10"/>
    </row>
    <row r="22" spans="1:12" ht="16" thickTop="1">
      <c r="A22" s="8"/>
      <c r="B22" s="9"/>
      <c r="C22" s="9"/>
      <c r="D22" s="27"/>
      <c r="E22" s="9"/>
      <c r="F22" s="9"/>
      <c r="G22" s="42"/>
      <c r="H22" s="9"/>
      <c r="I22" s="9"/>
      <c r="J22" s="43"/>
      <c r="K22" s="43"/>
      <c r="L22" s="10"/>
    </row>
    <row r="23" spans="1:12" ht="16" thickBot="1">
      <c r="A23" s="45"/>
      <c r="B23" s="46"/>
      <c r="C23" s="46"/>
      <c r="D23" s="47"/>
      <c r="E23" s="46"/>
      <c r="F23" s="46"/>
      <c r="G23" s="48">
        <v>0</v>
      </c>
      <c r="H23" s="49">
        <f>INT((((G23-C19)*0.2)+8429.64)/3)*3</f>
        <v>8427</v>
      </c>
      <c r="I23" s="46"/>
      <c r="J23" s="50"/>
      <c r="K23" s="50"/>
      <c r="L23" s="51"/>
    </row>
    <row r="24" spans="1:12" ht="16" thickBot="1">
      <c r="A24" s="2"/>
      <c r="B24" s="2"/>
      <c r="C24" s="2"/>
      <c r="D24" s="52"/>
      <c r="E24" s="2"/>
      <c r="F24" s="2"/>
      <c r="G24" s="53"/>
      <c r="H24" s="54"/>
      <c r="I24" s="54"/>
      <c r="J24" s="55"/>
      <c r="K24" s="55"/>
    </row>
    <row r="25" spans="1:12">
      <c r="A25" s="56" t="s">
        <v>21</v>
      </c>
      <c r="B25" s="57"/>
      <c r="C25" s="57"/>
      <c r="D25" s="58"/>
      <c r="E25" s="57"/>
      <c r="F25" s="57"/>
      <c r="G25" s="59"/>
      <c r="H25" s="57"/>
      <c r="I25" s="57"/>
      <c r="J25" s="60"/>
      <c r="K25" s="60"/>
      <c r="L25" s="61"/>
    </row>
    <row r="26" spans="1:12">
      <c r="A26" s="62"/>
      <c r="B26" s="63"/>
      <c r="C26" s="63"/>
      <c r="D26" s="64"/>
      <c r="E26" s="63"/>
      <c r="F26" s="63"/>
      <c r="G26" s="65"/>
      <c r="H26" s="63"/>
      <c r="I26" s="63"/>
      <c r="J26" s="66"/>
      <c r="K26" s="66"/>
      <c r="L26" s="67"/>
    </row>
    <row r="27" spans="1:12">
      <c r="A27" s="62" t="s">
        <v>2</v>
      </c>
      <c r="B27" s="68" t="str">
        <f>B5</f>
        <v>2021/22</v>
      </c>
      <c r="C27" s="63"/>
      <c r="D27" s="64"/>
      <c r="E27" s="63" t="s">
        <v>4</v>
      </c>
      <c r="F27" s="69">
        <f>+B32-1</f>
        <v>16983</v>
      </c>
      <c r="G27" s="65"/>
      <c r="H27" s="63"/>
      <c r="I27" s="63"/>
      <c r="J27" s="66"/>
      <c r="K27" s="66"/>
      <c r="L27" s="67"/>
    </row>
    <row r="28" spans="1:12">
      <c r="A28" s="62"/>
      <c r="B28" s="63"/>
      <c r="C28" s="66"/>
      <c r="D28" s="64"/>
      <c r="E28" s="63"/>
      <c r="F28" s="63"/>
      <c r="G28" s="70" t="s">
        <v>6</v>
      </c>
      <c r="H28" s="68"/>
      <c r="I28" s="63"/>
      <c r="J28" s="66"/>
      <c r="K28" s="66"/>
      <c r="L28" s="67"/>
    </row>
    <row r="29" spans="1:12">
      <c r="A29" s="62"/>
      <c r="B29" s="63"/>
      <c r="C29" s="63"/>
      <c r="D29" s="64"/>
      <c r="E29" s="63"/>
      <c r="F29" s="63"/>
      <c r="G29" s="70" t="s">
        <v>7</v>
      </c>
      <c r="H29" s="68" t="s">
        <v>8</v>
      </c>
      <c r="I29" s="63"/>
      <c r="J29" s="66"/>
      <c r="K29" s="66"/>
      <c r="L29" s="67"/>
    </row>
    <row r="30" spans="1:12">
      <c r="A30" s="71" t="s">
        <v>9</v>
      </c>
      <c r="B30" s="63"/>
      <c r="C30" s="63"/>
      <c r="D30" s="64" t="s">
        <v>10</v>
      </c>
      <c r="E30" s="72" t="s">
        <v>11</v>
      </c>
      <c r="F30" s="73" t="s">
        <v>12</v>
      </c>
      <c r="G30" s="70" t="s">
        <v>13</v>
      </c>
      <c r="H30" s="68" t="s">
        <v>14</v>
      </c>
      <c r="I30" s="74" t="s">
        <v>15</v>
      </c>
      <c r="J30" s="66"/>
      <c r="K30" s="66"/>
      <c r="L30" s="67"/>
    </row>
    <row r="31" spans="1:12">
      <c r="A31" s="62"/>
      <c r="B31" s="63"/>
      <c r="C31" s="63"/>
      <c r="D31" s="64"/>
      <c r="E31" s="63"/>
      <c r="F31" s="63"/>
      <c r="G31" s="65"/>
      <c r="H31" s="63"/>
      <c r="I31" s="63"/>
      <c r="J31" s="75" t="s">
        <v>16</v>
      </c>
      <c r="K31" s="75" t="s">
        <v>17</v>
      </c>
      <c r="L31" s="67"/>
    </row>
    <row r="32" spans="1:12">
      <c r="A32" s="76" t="s">
        <v>18</v>
      </c>
      <c r="B32" s="25">
        <v>16984</v>
      </c>
      <c r="C32" s="77">
        <v>48431</v>
      </c>
      <c r="D32" s="64">
        <f>C32-B32</f>
        <v>31447</v>
      </c>
      <c r="E32" s="78">
        <v>11.1</v>
      </c>
      <c r="F32" s="79">
        <f>(C32-B32+1)*E32/100</f>
        <v>3490.7280000000001</v>
      </c>
      <c r="G32" s="80">
        <f>IF(Input!$F$27&lt;Calc!B32,0,IF(Input!$F$27&gt;Calc!C32,0,Input!$F$27))</f>
        <v>0</v>
      </c>
      <c r="H32" s="81">
        <f>IF(G32=0,0,INT(I32/3)*3)</f>
        <v>0</v>
      </c>
      <c r="I32" s="79">
        <f>((G32-B32+1)*E32/100)</f>
        <v>-1885.1129999999998</v>
      </c>
      <c r="J32" s="82">
        <f>E32*1.5/2</f>
        <v>8.3249999999999993</v>
      </c>
      <c r="K32" s="82">
        <f>E32*1.75/3</f>
        <v>6.4750000000000005</v>
      </c>
      <c r="L32" s="67"/>
    </row>
    <row r="33" spans="1:12">
      <c r="A33" s="76" t="s">
        <v>18</v>
      </c>
      <c r="B33" s="64">
        <v>48431</v>
      </c>
      <c r="C33" s="77">
        <v>55352</v>
      </c>
      <c r="D33" s="64">
        <f>C33-B33</f>
        <v>6921</v>
      </c>
      <c r="E33" s="78">
        <v>12.1</v>
      </c>
      <c r="F33" s="79">
        <f>(C33-B33+1)*E33/100</f>
        <v>837.56200000000001</v>
      </c>
      <c r="G33" s="80">
        <f>IF(Input!$F$27&lt;Calc!B33,0,IF(Input!$F$27&gt;Calc!C33,0,Input!$F$27))</f>
        <v>0</v>
      </c>
      <c r="H33" s="81">
        <f>IF(G33=0,0,INT(I33/3)*3)</f>
        <v>0</v>
      </c>
      <c r="I33" s="79">
        <f>((G33-B33+1)*E33/100)+F32</f>
        <v>-2369.3019999999997</v>
      </c>
      <c r="J33" s="82">
        <f>E33*1.5/2</f>
        <v>9.0749999999999993</v>
      </c>
      <c r="K33" s="82">
        <f>E33*1.75/3</f>
        <v>7.0583333333333336</v>
      </c>
      <c r="L33" s="67"/>
    </row>
    <row r="34" spans="1:12">
      <c r="A34" s="76" t="s">
        <v>18</v>
      </c>
      <c r="B34" s="64">
        <v>55352</v>
      </c>
      <c r="C34" s="77">
        <v>68870</v>
      </c>
      <c r="D34" s="64">
        <f>C34-B34</f>
        <v>13518</v>
      </c>
      <c r="E34" s="78">
        <v>15.1</v>
      </c>
      <c r="F34" s="79">
        <f>(C34-B34+1)*E34/100</f>
        <v>2041.3689999999999</v>
      </c>
      <c r="G34" s="80">
        <f>IF(Input!$F$27&lt;Calc!B34,0,IF(Input!$F$27&gt;Calc!C34,0,Input!$F$27))</f>
        <v>0</v>
      </c>
      <c r="H34" s="81">
        <f>IF(G34=0,0,INT(I34/3)*3)</f>
        <v>0</v>
      </c>
      <c r="I34" s="79">
        <f>((G34-B34+1)*E34/100)+SUM(F32:F33)</f>
        <v>-4029.7110000000002</v>
      </c>
      <c r="J34" s="82">
        <f>E34*1.5/2</f>
        <v>11.324999999999999</v>
      </c>
      <c r="K34" s="82">
        <f>E34*1.75/3</f>
        <v>8.8083333333333336</v>
      </c>
      <c r="L34" s="67"/>
    </row>
    <row r="35" spans="1:12">
      <c r="A35" s="62"/>
      <c r="B35" s="64"/>
      <c r="C35" s="64"/>
      <c r="D35" s="64"/>
      <c r="E35" s="63"/>
      <c r="F35" s="63"/>
      <c r="G35" s="83"/>
      <c r="H35" s="64"/>
      <c r="I35" s="63"/>
      <c r="J35" s="82"/>
      <c r="K35" s="82"/>
      <c r="L35" s="67"/>
    </row>
    <row r="36" spans="1:12">
      <c r="A36" s="62"/>
      <c r="B36" s="64"/>
      <c r="C36" s="64"/>
      <c r="D36" s="64"/>
      <c r="E36" s="73" t="s">
        <v>19</v>
      </c>
      <c r="F36" s="79">
        <f>SUM(F32:F34)</f>
        <v>6369.6589999999997</v>
      </c>
      <c r="G36" s="84"/>
      <c r="H36" s="64"/>
      <c r="I36" s="63"/>
      <c r="J36" s="82"/>
      <c r="K36" s="82"/>
      <c r="L36" s="67"/>
    </row>
    <row r="37" spans="1:12">
      <c r="A37" s="62"/>
      <c r="B37" s="64"/>
      <c r="C37" s="64"/>
      <c r="D37" s="64"/>
      <c r="E37" s="63"/>
      <c r="F37" s="63"/>
      <c r="G37" s="84"/>
      <c r="H37" s="64"/>
      <c r="I37" s="63"/>
      <c r="J37" s="82"/>
      <c r="K37" s="82"/>
      <c r="L37" s="67"/>
    </row>
    <row r="38" spans="1:12">
      <c r="A38" s="76" t="s">
        <v>20</v>
      </c>
      <c r="B38" s="64">
        <f>+C34</f>
        <v>68870</v>
      </c>
      <c r="C38" s="64"/>
      <c r="D38" s="64"/>
      <c r="E38" s="78">
        <v>16.100000000000001</v>
      </c>
      <c r="F38" s="63"/>
      <c r="G38" s="85">
        <f>IF(Input!$F$27&lt;=Calc!B38,0,IF(Input!$F$27&gt;=Calc!C38,Input!$F$27))</f>
        <v>150000</v>
      </c>
      <c r="H38" s="81">
        <f>IF(G38=0,0,INT(I38/3)*3)</f>
        <v>19431</v>
      </c>
      <c r="I38" s="79">
        <f>((G38-B38)*E38/100)+F36</f>
        <v>19431.589</v>
      </c>
      <c r="J38" s="82">
        <f>E38*1.5/2</f>
        <v>12.075000000000001</v>
      </c>
      <c r="K38" s="82">
        <f>E38*1.75/3</f>
        <v>9.3916666666666675</v>
      </c>
      <c r="L38" s="67"/>
    </row>
    <row r="39" spans="1:12" ht="16" thickBot="1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67"/>
    </row>
    <row r="40" spans="1:12" ht="16" thickBot="1">
      <c r="A40" s="88"/>
      <c r="B40" s="89"/>
      <c r="C40" s="89"/>
      <c r="D40" s="89"/>
      <c r="E40" s="89"/>
      <c r="F40" s="89"/>
      <c r="G40" s="89"/>
      <c r="H40" s="90">
        <f>SUM(H32:H39)</f>
        <v>19431</v>
      </c>
      <c r="I40" s="89"/>
      <c r="J40" s="89"/>
      <c r="K40" s="89"/>
      <c r="L40" s="9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F782F9EBDC54881742570B4D7C2D6" ma:contentTypeVersion="13" ma:contentTypeDescription="Create a new document." ma:contentTypeScope="" ma:versionID="cb7ea5e72608b415c1f881a8a2b60623">
  <xsd:schema xmlns:xsd="http://www.w3.org/2001/XMLSchema" xmlns:xs="http://www.w3.org/2001/XMLSchema" xmlns:p="http://schemas.microsoft.com/office/2006/metadata/properties" xmlns:ns3="ecdc44bb-a886-4d26-bc74-9866b2a13773" xmlns:ns4="781c3065-faa0-4592-853c-62e0ea704712" targetNamespace="http://schemas.microsoft.com/office/2006/metadata/properties" ma:root="true" ma:fieldsID="4fe5603b4fce3ec549409704e36f5108" ns3:_="" ns4:_="">
    <xsd:import namespace="ecdc44bb-a886-4d26-bc74-9866b2a13773"/>
    <xsd:import namespace="781c3065-faa0-4592-853c-62e0ea7047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c44bb-a886-4d26-bc74-9866b2a137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c3065-faa0-4592-853c-62e0ea704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EBBE57-F236-4E14-A76C-B3E97F354D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758CA9-69B9-4ED5-80BB-973D341502F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781c3065-faa0-4592-853c-62e0ea704712"/>
    <ds:schemaRef ds:uri="ecdc44bb-a886-4d26-bc74-9866b2a1377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6C456C-3436-49F8-9E5E-AFEB4DE52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dc44bb-a886-4d26-bc74-9866b2a13773"/>
    <ds:schemaRef ds:uri="781c3065-faa0-4592-853c-62e0ea7047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Rates</vt:lpstr>
      <vt:lpstr>Calc</vt:lpstr>
    </vt:vector>
  </TitlesOfParts>
  <Company>Tring Park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Kieran Beirne</dc:creator>
  <cp:lastModifiedBy>Microsoft Office User</cp:lastModifiedBy>
  <dcterms:created xsi:type="dcterms:W3CDTF">2022-06-27T12:21:41Z</dcterms:created>
  <dcterms:modified xsi:type="dcterms:W3CDTF">2022-09-09T14:17:27Z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0x010100E1FF782F9EBDC54881742570B4D7C2D6</vt:lpwstr>
  </property>
</Properties>
</file>